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9F170A31-EB60-428F-B022-F066A31700BB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<sst xmlns="http://schemas.openxmlformats.org/spreadsheetml/2006/main" count="286" uniqueCount="201">
  <si>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</si>
  <si>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</si>
  <si>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</si>
  <si>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</si>
  <si>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</si>
  <si>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</si>
  <si>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</si>
  <si>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</si>
  <si>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</si>
  <si>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</si>
  <si>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</si>
  <si>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</si>
  <si>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</si>
  <si>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</si>
  <si>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</si>
  <si>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</si>
  <si>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</si>
  <si>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</si>
  <si>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</si>
  <si>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</si>
  <si>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</si>
  <si>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</si>
  <si>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</si>
  <si>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</si>
  <si>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</si>
  <si>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</si>
  <si>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</si>
  <si>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</si>
  <si>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</si>
  <si>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</si>
  <si>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</si>
  <si>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</si>
  <si>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</si>
  <si>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</si>
  <si>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</si>
  <si>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</si>
  <si>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</si>
  <si>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</si>
  <si>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</si>
  <si>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</si>
  <si>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</si>
  <si>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</si>
  <si>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</si>
  <si>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</si>
  <si>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</si>
  <si>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</si>
  <si>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</si>
  <si>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</si>
  <si>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</si>
  <si>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</si>
  <si>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</si>
  <si>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</si>
  <si>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</si>
  <si>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</si>
  <si>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</si>
  <si>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</si>
  <si>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</si>
  <si>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</si>
  <si>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</si>
  <si>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</si>
  <si>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</si>
  <si>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</si>
  <si>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</si>
  <si>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</si>
  <si>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</si>
  <si>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</si>
  <si>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</si>
  <si>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</si>
  <si>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</si>
  <si>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</si>
  <si>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</si>
  <si>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</si>
  <si>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</si>
  <si>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</si>
  <si>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</si>
  <si>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</si>
  <si>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</si>
  <si>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</si>
  <si>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</si>
  <si>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</si>
  <si>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</si>
  <si>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</si>
  <si>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</si>
  <si>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</si>
  <si>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</si>
  <si>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</si>
  <si>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</si>
  <si>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</si>
  <si>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</si>
  <si>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</si>
  <si>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</si>
  <si>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</si>
  <si>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</si>
  <si>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</si>
  <si>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</si>
  <si>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</si>
  <si>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</si>
  <si>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</si>
  <si>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</si>
  <si>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</si>
  <si>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</si>
  <si>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</si>
  <si>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</si>
  <si>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</si>
  <si>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</si>
  <si>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</si>
  <si>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</si>
  <si>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</si>
  <si>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</si>
  <si>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</si>
  <si>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</si>
  <si>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</si>
  <si>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</si>
  <si>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</si>
  <si>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</si>
  <si>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</si>
  <si>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</si>
  <si>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</si>
  <si>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</si>
  <si>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</si>
  <si>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</si>
  <si>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</si>
  <si>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</si>
  <si>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</si>
  <si>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</si>
  <si>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</si>
  <si>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</si>
  <si>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</si>
  <si>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</si>
  <si>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</si>
  <si>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</si>
  <si>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</si>
  <si>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</si>
  <si>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</si>
  <si>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</si>
  <si>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</si>
  <si>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</si>
  <si>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</si>
  <si>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</si>
  <si>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</si>
  <si>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</si>
  <si>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</si>
  <si>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</si>
  <si>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</si>
  <si>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</si>
  <si>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</si>
  <si>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</si>
  <si>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</si>
  <si>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</si>
  <si>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</si>
  <si>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</si>
  <si>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</si>
  <si>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</si>
  <si>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</si>
  <si>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</si>
  <si>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</si>
  <si>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</si>
  <si>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</si>
  <si>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</si>
  <si>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</si>
  <si>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</si>
  <si>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</si>
  <si>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</si>
  <si>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</si>
  <si>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</si>
  <si>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</si>
  <si>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</si>
  <si>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</si>
  <si>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</si>
  <si>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</si>
  <si>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</si>
  <si>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</si>
  <si>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</si>
  <si>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</si>
  <si>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</si>
  <si>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</si>
  <si>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</si>
  <si>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</si>
  <si>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</si>
  <si>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</si>
  <si>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</si>
  <si>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</si>
  <si>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</si>
  <si>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</si>
  <si>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</si>
  <si>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</si>
  <si>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</si>
  <si>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</si>
  <si>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</si>
  <si>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</si>
  <si>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</si>
  <si>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Frauenneuharting</t>
  </si>
  <si>
    <t>Stand: 15.02.2023</t>
  </si>
  <si>
    <t>Die Gemeinde Frauenneuharting setzt sich folgende Ziele:</t>
  </si>
  <si>
    <t>Frauenneuharting</t>
  </si>
  <si>
    <t>Gersdorf</t>
  </si>
  <si>
    <t>Haging</t>
  </si>
  <si>
    <t>Haus</t>
  </si>
  <si>
    <t>Jakobneuharting</t>
  </si>
  <si>
    <t>Lauterbach</t>
  </si>
  <si>
    <t>Tegernau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</si>
</sst>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9396.9</c:v>
                </c:pt>
                <c:pt idx="1">
                  <c:v>8706.2355824315709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3775.94</c:v>
                </c:pt>
                <c:pt idx="1">
                  <c:v>5060.6497951276297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107.77</c:v>
                </c:pt>
                <c:pt idx="1">
                  <c:v>120.06864067819494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6553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6728</c:v>
                </c:pt>
                <c:pt idx="1">
                  <c:v>13886.954018237395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13281</c:v>
                </c:pt>
                <c:pt idx="1">
                  <c:v>13886.954018237395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1886.89</c:v>
                </c:pt>
                <c:pt idx="1">
                  <c:v>1562.3825228806418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2064.79</c:v>
                </c:pt>
                <c:pt idx="1">
                  <c:v>2316.0894314006359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176.48</c:v>
                </c:pt>
                <c:pt idx="1">
                  <c:v>120.80853668559038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2866.7278481012659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2997</c:v>
                </c:pt>
                <c:pt idx="1">
                  <c:v>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1144.6000000000004</c:v>
                </c:pt>
                <c:pt idx="1">
                  <c:v>3869.0083390681339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4141.6000000000004</c:v>
                </c:pt>
                <c:pt idx="1">
                  <c:v>6866.0083390681339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773.80166781362686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3332.8689643769749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13.887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13.281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5 %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13886.954018237395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13886.954018237395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13886.954018237395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9396.9</v>
      </c>
      <c r="E78" s="177">
        <f>LOOKUP('Basis-Annahmen'!E5,'Nachfrage &amp; Erzeugung'!D36:G36,'Nachfrage &amp; Erzeugung'!D38:G38)</f>
        <v>8706.2355824315709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3775.94</v>
      </c>
      <c r="E79" s="177">
        <f>LOOKUP('Basis-Annahmen'!E5,'Nachfrage &amp; Erzeugung'!D36:G36,'Nachfrage &amp; Erzeugung'!D39:G39)</f>
        <v>5060.6497951276297</v>
      </c>
      <c r="F79" s="175"/>
      <c r="G79" s="176" t="s">
        <v>55</v>
      </c>
      <c r="H79" s="177">
        <f>'Nachfrage &amp; Erzeugung'!C46</f>
        <v>6553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107.77</v>
      </c>
      <c r="E80" s="177">
        <f>LOOKUP('Basis-Annahmen'!E5,'Nachfrage &amp; Erzeugung'!D36:G36,'Nachfrage &amp; Erzeugung'!D40:G40)</f>
        <v>120.06864067819494</v>
      </c>
      <c r="F80" s="175"/>
      <c r="G80" s="176" t="str">
        <f>'Nachfrage &amp; Erzeugung'!B47</f>
        <v>Nicht erneuerbare Wärmeerzeugung</v>
      </c>
      <c r="H80" s="177">
        <f>MAX(0,H82-H79)</f>
        <v>6728</v>
      </c>
      <c r="I80" s="177">
        <f>MAX(0,I82-I79)</f>
        <v>13886.954018237395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13281</v>
      </c>
      <c r="E82" s="177">
        <f>LOOKUP('Basis-Annahmen'!E5,'Nachfrage &amp; Erzeugung'!D36:G36,'Nachfrage &amp; Erzeugung'!D37:G37)</f>
        <v>13886.954018237395</v>
      </c>
      <c r="F82" s="175"/>
      <c r="G82" s="176" t="s">
        <v>82</v>
      </c>
      <c r="H82" s="177">
        <f>'Nachfrage &amp; Erzeugung'!C37</f>
        <v>13281</v>
      </c>
      <c r="I82" s="177">
        <f>LOOKUP('Basis-Annahmen'!E5,'Nachfrage &amp; Erzeugung'!D36:G36,'Nachfrage &amp; Erzeugung'!D37:G37)</f>
        <v>13886.954018237395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4.5625631973299816E-2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6.866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66 %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42 %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108000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14238.6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0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2997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2997</v>
      </c>
      <c r="G32" s="256"/>
      <c r="H32" s="248">
        <f>SUM(H27:H31)</f>
        <v>122238.6</v>
      </c>
      <c r="I32" s="248"/>
      <c r="J32" s="245">
        <f>IF(H32&gt;0,F32/H32,0)</f>
        <v>2.451762372932936E-2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1886.89</v>
      </c>
      <c r="E76" s="186">
        <f>LOOKUP('Basis-Annahmen'!E5,'Nachfrage &amp; Erzeugung'!D9:G9,'Nachfrage &amp; Erzeugung'!D11:G11)</f>
        <v>1562.3825228806418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2064.79</v>
      </c>
      <c r="E77" s="186">
        <f>LOOKUP('Basis-Annahmen'!E5,'Nachfrage &amp; Erzeugung'!D9:G9,'Nachfrage &amp; Erzeugung'!D12:G12)</f>
        <v>2316.0894314006359</v>
      </c>
      <c r="F77" s="175"/>
      <c r="G77" s="176" t="s">
        <v>103</v>
      </c>
      <c r="H77" s="186">
        <f>'Nachfrage &amp; Erzeugung'!C21</f>
        <v>2997</v>
      </c>
      <c r="I77" s="186">
        <f>F31</f>
        <v>2997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176.48</v>
      </c>
      <c r="E78" s="186">
        <f>LOOKUP('Basis-Annahmen'!E5,'Nachfrage &amp; Erzeugung'!D9:G9,'Nachfrage &amp; Erzeugung'!D13:G13)</f>
        <v>120.80853668559038</v>
      </c>
      <c r="F78" s="175"/>
      <c r="G78" s="176" t="str">
        <f>'Nachfrage &amp; Erzeugung'!B29</f>
        <v>Nicht aus lokalen EE gedeckter Strombedarf</v>
      </c>
      <c r="H78" s="186">
        <f>'Nachfrage &amp; Erzeugung'!C29</f>
        <v>1144.6000000000004</v>
      </c>
      <c r="I78" s="186">
        <f>MAX(0,E82-SUM(I79:I82)-I77)</f>
        <v>3869.0083390681339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2866.7278481012659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4141.6000000000004</v>
      </c>
      <c r="E82" s="186">
        <f>LOOKUP('Basis-Annahmen'!E5,'Nachfrage &amp; Erzeugung'!D9:G9,'Nachfrage &amp; Erzeugung'!D10:G10)</f>
        <v>6866.0083390681339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0.65781541893667506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0.41752466739507965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1770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3869.0083390681339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773.80166781362686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0.43717608351052367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13886.954018237395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3332.8689643769749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1.8829768160321891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1.55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4106.6706321906022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2.320152899542713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773.80166781362686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3332.8689643769749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1.0550996483001172E-2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9.3786635404454859E-3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1580</v>
      </c>
      <c r="F34" s="69">
        <v>1620</v>
      </c>
      <c r="G34" s="69">
        <v>1670</v>
      </c>
      <c r="H34" s="69">
        <v>1720</v>
      </c>
      <c r="I34" s="70">
        <v>1770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2.5316455696202531E-2</v>
      </c>
      <c r="G36" s="67">
        <f>(G34-F34)/F34</f>
        <v>3.0864197530864196E-2</v>
      </c>
      <c r="H36" s="67">
        <f>(H34-G34)/G34</f>
        <v>2.9940119760479042E-2</v>
      </c>
      <c r="I36" s="68">
        <f>(I34-H34)/H34</f>
        <v>2.9069767441860465E-2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45.378739656269893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0.53987341772151898</v>
      </c>
      <c r="F44" s="73">
        <f>E44*(1+(F13*(F43-E43)))</f>
        <v>0.53987341772151898</v>
      </c>
      <c r="G44" s="73">
        <f t="shared" ref="G44:I44" si="0">F44*(1+(G13*(G43-F43)))</f>
        <v>0.53987341772151898</v>
      </c>
      <c r="H44" s="73">
        <f t="shared" si="0"/>
        <v>0.53987341772151898</v>
      </c>
      <c r="I44" s="190">
        <f t="shared" si="0"/>
        <v>0.53987341772151898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853</v>
      </c>
      <c r="F45" s="36">
        <f>F44*F34</f>
        <v>874.5949367088607</v>
      </c>
      <c r="G45" s="36">
        <f t="shared" ref="G45:I45" si="1">G44*G34</f>
        <v>901.58860759493666</v>
      </c>
      <c r="H45" s="36">
        <f t="shared" si="1"/>
        <v>928.58227848101262</v>
      </c>
      <c r="I45" s="74">
        <f t="shared" si="1"/>
        <v>955.57594936708858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9</v>
      </c>
      <c r="F46" s="36">
        <f>F$45*F$14</f>
        <v>43.729746835443038</v>
      </c>
      <c r="G46" s="36">
        <f>G$45*G$14</f>
        <v>270.47658227848098</v>
      </c>
      <c r="H46" s="36">
        <f>H$45*H$14</f>
        <v>557.14936708860751</v>
      </c>
      <c r="I46" s="74">
        <f>I$45*I$14</f>
        <v>955.57594936708858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8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4141.6000000000004</v>
      </c>
      <c r="D10" s="94">
        <f>D11+D12+D13+D14+D15</f>
        <v>4082.6927575894729</v>
      </c>
      <c r="E10" s="94">
        <f>E11+E12+E13+E14+D15</f>
        <v>4771.0967020406097</v>
      </c>
      <c r="F10" s="94">
        <f>F11+F12+F13+F14+D15</f>
        <v>5646.9398284685285</v>
      </c>
      <c r="G10" s="95">
        <f>G11+G12+G13+G14+D15</f>
        <v>6866.0083390681339</v>
      </c>
      <c r="H10" s="14"/>
    </row>
    <row r="11" spans="1:8" ht="19.5" customHeight="1" x14ac:dyDescent="0.2">
      <c r="B11" s="88" t="s">
        <v>6</v>
      </c>
      <c r="C11" s="96">
        <v>1886.89</v>
      </c>
      <c r="D11" s="97">
        <f>C11/'Basis-Annahmen'!E34*((1-'Basis-Annahmen'!F19)^(D9-C9))*'Basis-Annahmen'!F34</f>
        <v>1793.8480916207925</v>
      </c>
      <c r="E11" s="97">
        <f>D11/'Basis-Annahmen'!F34*((1-'Basis-Annahmen'!G19)^5)*'Basis-Annahmen'!G34</f>
        <v>1714.6215271547926</v>
      </c>
      <c r="F11" s="97">
        <f>E11/'Basis-Annahmen'!G34*((1-'Basis-Annahmen'!H19)^5)*'Basis-Annahmen'!H34</f>
        <v>1637.4249374236826</v>
      </c>
      <c r="G11" s="98">
        <f>F11/'Basis-Annahmen'!H34*((1-'Basis-Annahmen'!I19)^5)*'Basis-Annahmen'!I34</f>
        <v>1562.3825228806418</v>
      </c>
      <c r="H11" s="14"/>
    </row>
    <row r="12" spans="1:8" ht="19.5" customHeight="1" x14ac:dyDescent="0.2">
      <c r="B12" s="88" t="s">
        <v>104</v>
      </c>
      <c r="C12" s="96">
        <v>2064.79</v>
      </c>
      <c r="D12" s="97">
        <f>((1-'Basis-Annahmen'!F20)^(D9-C9))*((1+'Basis-Annahmen'!F9)^(D9-C9))*C12</f>
        <v>2006.106044606815</v>
      </c>
      <c r="E12" s="97">
        <f>((1-'Basis-Annahmen'!G20)^5)*((1+'Basis-Annahmen'!G9)^5)*D12</f>
        <v>2104.5263411978276</v>
      </c>
      <c r="F12" s="97">
        <f>((1-'Basis-Annahmen'!H20)^5)*((1+'Basis-Annahmen'!H9)^5)*E12</f>
        <v>2207.7751735519942</v>
      </c>
      <c r="G12" s="98">
        <f>((1-'Basis-Annahmen'!I20)^5)*((1+'Basis-Annahmen'!I9)^5)*F12</f>
        <v>2316.0894314006359</v>
      </c>
      <c r="H12" s="14"/>
    </row>
    <row r="13" spans="1:8" ht="19.5" customHeight="1" x14ac:dyDescent="0.2">
      <c r="B13" s="88" t="s">
        <v>7</v>
      </c>
      <c r="C13" s="96">
        <v>176.48</v>
      </c>
      <c r="D13" s="97">
        <f>C13*((1-'Basis-Annahmen'!F20)^(D9-C9))</f>
        <v>151.54938085553599</v>
      </c>
      <c r="E13" s="97">
        <f>D13*((1-'Basis-Annahmen'!G20)^5)</f>
        <v>140.51908685254608</v>
      </c>
      <c r="F13" s="97">
        <f>E13*((1-'Basis-Annahmen'!H20)^5)</f>
        <v>130.29161622702927</v>
      </c>
      <c r="G13" s="98">
        <f>F13*((1-'Basis-Annahmen'!I20)^5)</f>
        <v>120.80853668559038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131.1892405063291</v>
      </c>
      <c r="E14" s="97">
        <f>'Basis-Annahmen'!G46*'Basis-Annahmen'!G51+'Basis-Annahmen'!G47*'Basis-Annahmen'!G52</f>
        <v>811.42974683544298</v>
      </c>
      <c r="F14" s="97">
        <f>'Basis-Annahmen'!H46*'Basis-Annahmen'!H51+'Basis-Annahmen'!H47*'Basis-Annahmen'!H52</f>
        <v>1671.4481012658225</v>
      </c>
      <c r="G14" s="98">
        <f>'Basis-Annahmen'!I46*'Basis-Annahmen'!I51+'Basis-Annahmen'!I47*'Basis-Annahmen'!I52</f>
        <v>2866.7278481012659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-1.4223305584925508E-2</v>
      </c>
      <c r="E16" s="101">
        <f>(E10-$C$10)/$C$10</f>
        <v>0.15199360199937445</v>
      </c>
      <c r="F16" s="101">
        <f t="shared" ref="F16" si="0">(F10-$C$10)/$C$10</f>
        <v>0.36346818342392506</v>
      </c>
      <c r="G16" s="102">
        <f>(G10-$C$10)/$C$10</f>
        <v>0.65781541893667506</v>
      </c>
      <c r="H16" s="14"/>
    </row>
    <row r="17" spans="1:10" ht="19.5" customHeight="1" x14ac:dyDescent="0.2">
      <c r="B17" s="89" t="s">
        <v>97</v>
      </c>
      <c r="C17" s="107"/>
      <c r="D17" s="104">
        <f>D14/D10</f>
        <v>3.2133018156327443E-2</v>
      </c>
      <c r="E17" s="104">
        <f>E14/E10</f>
        <v>0.17007195567601732</v>
      </c>
      <c r="F17" s="104">
        <f>F14/F10</f>
        <v>0.29599183841828286</v>
      </c>
      <c r="G17" s="105">
        <f>G14/G10</f>
        <v>0.41752466739507965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2997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2751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246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1144.6000000000004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13281</v>
      </c>
      <c r="D37" s="94">
        <f>SUM(D38:D40)</f>
        <v>13427.981855216251</v>
      </c>
      <c r="E37" s="94">
        <f>SUM(E38:E40)</f>
        <v>13579.632652706958</v>
      </c>
      <c r="F37" s="94">
        <f t="shared" ref="F37:G37" si="1">SUM(F38:F40)</f>
        <v>13720.685142996364</v>
      </c>
      <c r="G37" s="95">
        <f t="shared" si="1"/>
        <v>13886.954018237395</v>
      </c>
      <c r="H37" s="14"/>
    </row>
    <row r="38" spans="1:8" ht="19.5" customHeight="1" x14ac:dyDescent="0.2">
      <c r="A38" s="14"/>
      <c r="B38" s="113" t="s">
        <v>6</v>
      </c>
      <c r="C38" s="96">
        <v>9396.9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9254.8645448758743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9094.6775938892424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8900.4565881604067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8706.2355824315709</v>
      </c>
      <c r="H38" s="14"/>
    </row>
    <row r="39" spans="1:8" ht="19.5" customHeight="1" x14ac:dyDescent="0.2">
      <c r="A39" s="14"/>
      <c r="B39" s="113" t="s">
        <v>104</v>
      </c>
      <c r="C39" s="96">
        <v>3775.94</v>
      </c>
      <c r="D39" s="97">
        <f>C39*((1-'Basis-Annahmen'!F$24)^(D36-C36))*((1+'Basis-Annahmen'!F$9)^(D36-C36))</f>
        <v>4062.7526724244854</v>
      </c>
      <c r="E39" s="97">
        <f>((1-'Basis-Annahmen'!G$24)^5)*((1+'Basis-Annahmen'!G$9)^5)*'Nachfrage &amp; Erzeugung'!D39</f>
        <v>4371.3510482932188</v>
      </c>
      <c r="F39" s="97">
        <f>((1-'Basis-Annahmen'!H$24)^5)*((1+'Basis-Annahmen'!H$9)^5)*'Nachfrage &amp; Erzeugung'!E39</f>
        <v>4703.3899250408767</v>
      </c>
      <c r="G39" s="98">
        <f>((1-'Basis-Annahmen'!I$24)^5)*((1+'Basis-Annahmen'!I$9)^5)*'Nachfrage &amp; Erzeugung'!F39</f>
        <v>5060.6497951276297</v>
      </c>
      <c r="H39" s="14"/>
    </row>
    <row r="40" spans="1:8" ht="19.5" customHeight="1" x14ac:dyDescent="0.2">
      <c r="A40" s="14"/>
      <c r="B40" s="113" t="s">
        <v>7</v>
      </c>
      <c r="C40" s="96">
        <v>107.77</v>
      </c>
      <c r="D40" s="97">
        <f>C40+(C40*'Basis-Annahmen'!F36)*((1-'Basis-Annahmen'!F24)^(D36-C36))</f>
        <v>110.36463791589172</v>
      </c>
      <c r="E40" s="97">
        <f>D40+(D40*'Basis-Annahmen'!G36)*((1-'Basis-Annahmen'!G24)^5)</f>
        <v>113.60401052449757</v>
      </c>
      <c r="F40" s="97">
        <f>E40+(E40*'Basis-Annahmen'!H36)*((1-'Basis-Annahmen'!H24)^5)</f>
        <v>116.83862979508235</v>
      </c>
      <c r="G40" s="98">
        <f>F40+(F40*'Basis-Annahmen'!I36)*((1-'Basis-Annahmen'!I24)^5)</f>
        <v>120.06864067819494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1.1067077420092655E-2</v>
      </c>
      <c r="E42" s="104">
        <f>(E37-$C$37)/$C$37</f>
        <v>2.248570534650687E-2</v>
      </c>
      <c r="F42" s="104">
        <f>(F37-$C$37)/$C$37</f>
        <v>3.3106328062372146E-2</v>
      </c>
      <c r="G42" s="105">
        <f>(G37-$C$37)/$C$37</f>
        <v>4.5625631973299816E-2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6553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6728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0.40584870276096352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5.9669687623300258E-2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6.9606606006948124E-2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4.4451608557158392E-2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0.19718195750291109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6.0967588270957433E-2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0.1622738492777612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108000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12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14238.6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94924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0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0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